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6\税務課\国保\HP掲載\国民健康保険税の計算方法等\02 国保税の試算について\"/>
    </mc:Choice>
  </mc:AlternateContent>
  <xr:revisionPtr revIDLastSave="0" documentId="13_ncr:1_{E2B283D4-3C5D-4762-83FB-1E5C1CD52C5E}" xr6:coauthVersionLast="36" xr6:coauthVersionMax="36" xr10:uidLastSave="{00000000-0000-0000-0000-000000000000}"/>
  <bookViews>
    <workbookView xWindow="0" yWindow="0" windowWidth="28800" windowHeight="12135" xr2:uid="{3A1714BA-4692-444F-A925-DE89D87784AF}"/>
  </bookViews>
  <sheets>
    <sheet name="Sheet1" sheetId="1" r:id="rId1"/>
  </sheets>
  <definedNames>
    <definedName name="_xlnm.Print_Area" localSheetId="0">Sheet1!$A$1:$J$43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D21" i="1"/>
  <c r="D18" i="1"/>
  <c r="D19" i="1"/>
  <c r="I21" i="1" l="1"/>
  <c r="E13" i="1"/>
  <c r="F13" i="1"/>
  <c r="G13" i="1"/>
  <c r="H13" i="1"/>
  <c r="D13" i="1"/>
  <c r="C13" i="1"/>
  <c r="C20" i="1" l="1"/>
  <c r="E20" i="1"/>
  <c r="D20" i="1"/>
  <c r="F20" i="1"/>
  <c r="G20" i="1"/>
  <c r="H20" i="1"/>
  <c r="I20" i="1" l="1"/>
  <c r="D17" i="1"/>
  <c r="D40" i="1" s="1"/>
  <c r="E19" i="1"/>
  <c r="F19" i="1"/>
  <c r="G19" i="1"/>
  <c r="H19" i="1"/>
  <c r="H38" i="1" s="1"/>
  <c r="D36" i="1" l="1"/>
  <c r="D30" i="1"/>
  <c r="D24" i="1"/>
  <c r="I19" i="1"/>
  <c r="G14" i="1"/>
  <c r="G15" i="1" s="1"/>
  <c r="G16" i="1" s="1"/>
  <c r="F15" i="1"/>
  <c r="F16" i="1" s="1"/>
  <c r="H15" i="1"/>
  <c r="H16" i="1" s="1"/>
  <c r="H36" i="1"/>
  <c r="F31" i="1"/>
  <c r="G31" i="1"/>
  <c r="H31" i="1"/>
  <c r="E31" i="1"/>
  <c r="E37" i="1" l="1"/>
  <c r="F37" i="1"/>
  <c r="G37" i="1"/>
  <c r="H37" i="1"/>
  <c r="H39" i="1" s="1"/>
  <c r="D37" i="1"/>
  <c r="C14" i="1" l="1"/>
  <c r="C15" i="1" s="1"/>
  <c r="C16" i="1" s="1"/>
  <c r="E18" i="1"/>
  <c r="F18" i="1"/>
  <c r="G18" i="1"/>
  <c r="H18" i="1"/>
  <c r="F14" i="1"/>
  <c r="H14" i="1"/>
  <c r="E14" i="1"/>
  <c r="E15" i="1" s="1"/>
  <c r="E16" i="1" s="1"/>
  <c r="I18" i="1" l="1"/>
  <c r="D14" i="1"/>
  <c r="D15" i="1" s="1"/>
  <c r="D16" i="1" s="1"/>
  <c r="D31" i="1"/>
  <c r="E25" i="1"/>
  <c r="F25" i="1"/>
  <c r="G25" i="1"/>
  <c r="H25" i="1"/>
  <c r="D25" i="1"/>
  <c r="I32" i="1"/>
  <c r="I26" i="1"/>
  <c r="M26" i="1" l="1"/>
  <c r="M25" i="1"/>
  <c r="H26" i="1"/>
  <c r="H32" i="1"/>
  <c r="G32" i="1"/>
  <c r="F26" i="1"/>
  <c r="F32" i="1"/>
  <c r="D26" i="1"/>
  <c r="E32" i="1"/>
  <c r="E26" i="1"/>
  <c r="D32" i="1"/>
  <c r="G26" i="1"/>
  <c r="I25" i="1"/>
  <c r="I31" i="1"/>
  <c r="I37" i="1"/>
  <c r="I38" i="1" s="1"/>
  <c r="D38" i="1" l="1"/>
  <c r="D39" i="1" s="1"/>
  <c r="E38" i="1"/>
  <c r="E17" i="1"/>
  <c r="E30" i="1" s="1"/>
  <c r="E33" i="1" s="1"/>
  <c r="G17" i="1"/>
  <c r="F17" i="1"/>
  <c r="H17" i="1"/>
  <c r="F38" i="1"/>
  <c r="G38" i="1"/>
  <c r="D27" i="1"/>
  <c r="D33" i="1"/>
  <c r="I13" i="1"/>
  <c r="H24" i="1" l="1"/>
  <c r="H27" i="1" s="1"/>
  <c r="H40" i="1"/>
  <c r="G30" i="1"/>
  <c r="G33" i="1" s="1"/>
  <c r="G40" i="1"/>
  <c r="G36" i="1" s="1"/>
  <c r="G39" i="1" s="1"/>
  <c r="F24" i="1"/>
  <c r="F27" i="1" s="1"/>
  <c r="F40" i="1"/>
  <c r="F36" i="1" s="1"/>
  <c r="F39" i="1" s="1"/>
  <c r="E24" i="1"/>
  <c r="E27" i="1" s="1"/>
  <c r="E40" i="1"/>
  <c r="E36" i="1" s="1"/>
  <c r="E39" i="1" s="1"/>
  <c r="G24" i="1"/>
  <c r="G27" i="1" s="1"/>
  <c r="F30" i="1"/>
  <c r="F33" i="1" s="1"/>
  <c r="H30" i="1"/>
  <c r="H33" i="1" s="1"/>
  <c r="M27" i="1"/>
  <c r="I16" i="1"/>
  <c r="H23" i="1" l="1"/>
  <c r="I36" i="1"/>
  <c r="I39" i="1" s="1"/>
  <c r="I24" i="1"/>
  <c r="J24" i="1" s="1"/>
  <c r="I30" i="1"/>
  <c r="J30" i="1" s="1"/>
  <c r="J31" i="1" l="1"/>
  <c r="J26" i="1"/>
  <c r="J25" i="1"/>
  <c r="J36" i="1"/>
  <c r="I27" i="1"/>
  <c r="I33" i="1"/>
  <c r="J32" i="1"/>
  <c r="J38" i="1"/>
  <c r="J37" i="1"/>
  <c r="J27" i="1" l="1"/>
  <c r="J39" i="1"/>
  <c r="J33" i="1"/>
  <c r="J42" i="1" l="1"/>
  <c r="J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217001</author>
  </authors>
  <commentList>
    <comment ref="C5" authorId="0" shapeId="0" xr:uid="{3C34CA1A-95CE-4964-80C2-024FD906D0F7}">
      <text>
        <r>
          <rPr>
            <b/>
            <sz val="10"/>
            <color indexed="81"/>
            <rFont val="MS P ゴシック"/>
            <family val="3"/>
            <charset val="128"/>
          </rPr>
          <t>世帯主が国民健康保険の加入者ではない場合に入力（軽減判定用）</t>
        </r>
      </text>
    </comment>
  </commentList>
</comments>
</file>

<file path=xl/sharedStrings.xml><?xml version="1.0" encoding="utf-8"?>
<sst xmlns="http://schemas.openxmlformats.org/spreadsheetml/2006/main" count="55" uniqueCount="47">
  <si>
    <t>給与</t>
    <rPh sb="0" eb="2">
      <t>キュウヨ</t>
    </rPh>
    <phoneticPr fontId="2"/>
  </si>
  <si>
    <t>雑（公的年金以外）</t>
    <rPh sb="0" eb="1">
      <t>ザツ</t>
    </rPh>
    <rPh sb="2" eb="6">
      <t>コウテキネンキン</t>
    </rPh>
    <rPh sb="6" eb="8">
      <t>イガイ</t>
    </rPh>
    <phoneticPr fontId="2"/>
  </si>
  <si>
    <t>雑（年金）</t>
    <rPh sb="0" eb="1">
      <t>ザツ</t>
    </rPh>
    <rPh sb="2" eb="4">
      <t>ネンキン</t>
    </rPh>
    <phoneticPr fontId="2"/>
  </si>
  <si>
    <t>所得の種類</t>
    <rPh sb="0" eb="2">
      <t>ショトク</t>
    </rPh>
    <rPh sb="3" eb="5">
      <t>シュルイ</t>
    </rPh>
    <phoneticPr fontId="2"/>
  </si>
  <si>
    <t>①所得割</t>
    <rPh sb="1" eb="4">
      <t>ショトクワリ</t>
    </rPh>
    <phoneticPr fontId="2"/>
  </si>
  <si>
    <t>②均等割</t>
    <rPh sb="1" eb="4">
      <t>キントウワ</t>
    </rPh>
    <phoneticPr fontId="2"/>
  </si>
  <si>
    <t>③平等割</t>
    <rPh sb="1" eb="3">
      <t>ビョウドウ</t>
    </rPh>
    <rPh sb="3" eb="4">
      <t>ワリ</t>
    </rPh>
    <phoneticPr fontId="2"/>
  </si>
  <si>
    <t>A医療分</t>
    <rPh sb="1" eb="3">
      <t>イリョウ</t>
    </rPh>
    <rPh sb="3" eb="4">
      <t>ブン</t>
    </rPh>
    <phoneticPr fontId="2"/>
  </si>
  <si>
    <t>合計</t>
    <rPh sb="0" eb="2">
      <t>ゴウケイ</t>
    </rPh>
    <phoneticPr fontId="2"/>
  </si>
  <si>
    <t>B後期分</t>
    <rPh sb="1" eb="3">
      <t>コウキ</t>
    </rPh>
    <rPh sb="3" eb="4">
      <t>ブン</t>
    </rPh>
    <phoneticPr fontId="2"/>
  </si>
  <si>
    <t>C介護分</t>
    <rPh sb="1" eb="3">
      <t>カイゴ</t>
    </rPh>
    <rPh sb="3" eb="4">
      <t>ブン</t>
    </rPh>
    <phoneticPr fontId="2"/>
  </si>
  <si>
    <t>１人目</t>
    <rPh sb="1" eb="3">
      <t>ニンメ</t>
    </rPh>
    <phoneticPr fontId="2"/>
  </si>
  <si>
    <t>２人目</t>
    <rPh sb="1" eb="3">
      <t>ニンメ</t>
    </rPh>
    <phoneticPr fontId="2"/>
  </si>
  <si>
    <t>３人目</t>
    <rPh sb="1" eb="3">
      <t>ニンメ</t>
    </rPh>
    <phoneticPr fontId="2"/>
  </si>
  <si>
    <t>４人目</t>
    <rPh sb="1" eb="3">
      <t>ニンメ</t>
    </rPh>
    <phoneticPr fontId="2"/>
  </si>
  <si>
    <t>５人目</t>
    <rPh sb="1" eb="3">
      <t>ニンメ</t>
    </rPh>
    <phoneticPr fontId="2"/>
  </si>
  <si>
    <t>給与所得者等</t>
    <rPh sb="0" eb="2">
      <t>キュウヨ</t>
    </rPh>
    <rPh sb="2" eb="5">
      <t>ショトクシャ</t>
    </rPh>
    <rPh sb="5" eb="6">
      <t>トウ</t>
    </rPh>
    <phoneticPr fontId="2"/>
  </si>
  <si>
    <t>年税額（A+B+C）</t>
    <rPh sb="0" eb="1">
      <t>ネン</t>
    </rPh>
    <rPh sb="1" eb="3">
      <t>ゼイガク</t>
    </rPh>
    <phoneticPr fontId="2"/>
  </si>
  <si>
    <t>一月あたり</t>
    <rPh sb="0" eb="2">
      <t>ヒトツキ</t>
    </rPh>
    <phoneticPr fontId="2"/>
  </si>
  <si>
    <t>40～64歳</t>
    <rPh sb="5" eb="6">
      <t>サイ</t>
    </rPh>
    <phoneticPr fontId="2"/>
  </si>
  <si>
    <t>年齢</t>
    <rPh sb="0" eb="2">
      <t>ネンレイ</t>
    </rPh>
    <phoneticPr fontId="2"/>
  </si>
  <si>
    <t>39歳まで</t>
    <rPh sb="2" eb="3">
      <t>サイ</t>
    </rPh>
    <phoneticPr fontId="2"/>
  </si>
  <si>
    <t>65歳以上</t>
    <rPh sb="2" eb="3">
      <t>サイ</t>
    </rPh>
    <rPh sb="3" eb="5">
      <t>イジョウ</t>
    </rPh>
    <phoneticPr fontId="2"/>
  </si>
  <si>
    <t>被保判定</t>
    <rPh sb="0" eb="1">
      <t>ヒ</t>
    </rPh>
    <rPh sb="1" eb="2">
      <t>ホ</t>
    </rPh>
    <rPh sb="2" eb="4">
      <t>ハンテイ</t>
    </rPh>
    <phoneticPr fontId="2"/>
  </si>
  <si>
    <t>割軽減</t>
    <rPh sb="0" eb="1">
      <t>ワリ</t>
    </rPh>
    <rPh sb="1" eb="3">
      <t>ケイゲン</t>
    </rPh>
    <phoneticPr fontId="2"/>
  </si>
  <si>
    <t>世帯主</t>
    <rPh sb="0" eb="3">
      <t>セタイヌシ</t>
    </rPh>
    <phoneticPr fontId="2"/>
  </si>
  <si>
    <t>軽減後</t>
    <rPh sb="0" eb="3">
      <t>ケイゲンゴ</t>
    </rPh>
    <phoneticPr fontId="2"/>
  </si>
  <si>
    <t>軽減判定（年金）1</t>
    <rPh sb="0" eb="2">
      <t>ケイゲン</t>
    </rPh>
    <rPh sb="2" eb="4">
      <t>ハンテイ</t>
    </rPh>
    <rPh sb="5" eb="7">
      <t>ネンキン</t>
    </rPh>
    <phoneticPr fontId="2"/>
  </si>
  <si>
    <t>軽減判定（年金）2</t>
    <rPh sb="0" eb="2">
      <t>ケイゲン</t>
    </rPh>
    <rPh sb="2" eb="4">
      <t>ハンテイ</t>
    </rPh>
    <rPh sb="5" eb="7">
      <t>ネンキン</t>
    </rPh>
    <phoneticPr fontId="2"/>
  </si>
  <si>
    <t>介護判定</t>
    <rPh sb="0" eb="2">
      <t>カイゴ</t>
    </rPh>
    <rPh sb="2" eb="4">
      <t>ハンテイ</t>
    </rPh>
    <phoneticPr fontId="2"/>
  </si>
  <si>
    <t>基礎控除額</t>
    <rPh sb="0" eb="4">
      <t>キソ</t>
    </rPh>
    <rPh sb="4" eb="5">
      <t>ガク</t>
    </rPh>
    <phoneticPr fontId="2"/>
  </si>
  <si>
    <t>軽減判定額
（世帯主含む）</t>
    <rPh sb="0" eb="2">
      <t>ケイゲン</t>
    </rPh>
    <rPh sb="2" eb="4">
      <t>ハンテイ</t>
    </rPh>
    <rPh sb="4" eb="5">
      <t>ガク</t>
    </rPh>
    <rPh sb="7" eb="10">
      <t>セタイヌシ</t>
    </rPh>
    <rPh sb="10" eb="11">
      <t>フク</t>
    </rPh>
    <phoneticPr fontId="2"/>
  </si>
  <si>
    <t>総所得金額
（世帯主除く）</t>
    <rPh sb="0" eb="3">
      <t>ソウショトク</t>
    </rPh>
    <rPh sb="3" eb="5">
      <t>キンガク</t>
    </rPh>
    <rPh sb="7" eb="10">
      <t>セタイヌシ</t>
    </rPh>
    <rPh sb="10" eb="11">
      <t>ノゾ</t>
    </rPh>
    <phoneticPr fontId="2"/>
  </si>
  <si>
    <t>基礎控除</t>
    <rPh sb="0" eb="4">
      <t>キソコウジョ</t>
    </rPh>
    <phoneticPr fontId="2"/>
  </si>
  <si>
    <t>軽減判定</t>
    <rPh sb="0" eb="2">
      <t>ケイゲン</t>
    </rPh>
    <rPh sb="2" eb="4">
      <t>ハンテイ</t>
    </rPh>
    <phoneticPr fontId="2"/>
  </si>
  <si>
    <t>限度額</t>
    <rPh sb="0" eb="2">
      <t>ゲンド</t>
    </rPh>
    <rPh sb="2" eb="3">
      <t>ガク</t>
    </rPh>
    <phoneticPr fontId="2"/>
  </si>
  <si>
    <t>A</t>
    <phoneticPr fontId="2"/>
  </si>
  <si>
    <t>B</t>
    <phoneticPr fontId="2"/>
  </si>
  <si>
    <t>C</t>
    <phoneticPr fontId="2"/>
  </si>
  <si>
    <t>年齢</t>
    <rPh sb="0" eb="2">
      <t>ネンレイ</t>
    </rPh>
    <phoneticPr fontId="2"/>
  </si>
  <si>
    <t>それ以外1</t>
    <rPh sb="2" eb="4">
      <t>イガイ</t>
    </rPh>
    <phoneticPr fontId="2"/>
  </si>
  <si>
    <t>それ以外2</t>
    <rPh sb="2" eb="4">
      <t>イガイ</t>
    </rPh>
    <phoneticPr fontId="2"/>
  </si>
  <si>
    <t>未就学児</t>
    <rPh sb="0" eb="4">
      <t>ミシュウ</t>
    </rPh>
    <phoneticPr fontId="2"/>
  </si>
  <si>
    <t>（未就学児）</t>
    <rPh sb="1" eb="5">
      <t>ミシュウ</t>
    </rPh>
    <phoneticPr fontId="2"/>
  </si>
  <si>
    <t>未就学児</t>
    <rPh sb="0" eb="4">
      <t>ミシュ</t>
    </rPh>
    <phoneticPr fontId="2"/>
  </si>
  <si>
    <t>令和６年度国民健康保険税試算</t>
    <rPh sb="0" eb="1">
      <t>レイ</t>
    </rPh>
    <rPh sb="1" eb="2">
      <t>ワ</t>
    </rPh>
    <rPh sb="3" eb="5">
      <t>ネンド</t>
    </rPh>
    <rPh sb="5" eb="7">
      <t>コクミン</t>
    </rPh>
    <rPh sb="7" eb="9">
      <t>ケンコウ</t>
    </rPh>
    <rPh sb="9" eb="11">
      <t>ホケン</t>
    </rPh>
    <rPh sb="11" eb="12">
      <t>ゼイ</t>
    </rPh>
    <rPh sb="12" eb="14">
      <t>シサン</t>
    </rPh>
    <phoneticPr fontId="2"/>
  </si>
  <si>
    <t>非対応：分離所得がある世帯（収用等）、非自発的離職軽減、旧国保世帯（特定同一世帯所属者）、専従者控除、産前産後軽減</t>
    <rPh sb="0" eb="3">
      <t>ヒタイオウ</t>
    </rPh>
    <rPh sb="4" eb="6">
      <t>ブンリ</t>
    </rPh>
    <rPh sb="6" eb="8">
      <t>ショトク</t>
    </rPh>
    <rPh sb="11" eb="13">
      <t>セタイ</t>
    </rPh>
    <rPh sb="14" eb="16">
      <t>シュウヨウ</t>
    </rPh>
    <rPh sb="16" eb="17">
      <t>トウ</t>
    </rPh>
    <rPh sb="19" eb="23">
      <t>ヒジハツテキ</t>
    </rPh>
    <rPh sb="23" eb="25">
      <t>リショク</t>
    </rPh>
    <rPh sb="25" eb="27">
      <t>ケイゲン</t>
    </rPh>
    <rPh sb="28" eb="29">
      <t>キュウ</t>
    </rPh>
    <rPh sb="29" eb="31">
      <t>コクホ</t>
    </rPh>
    <rPh sb="31" eb="33">
      <t>セタイ</t>
    </rPh>
    <rPh sb="34" eb="36">
      <t>トクテイ</t>
    </rPh>
    <rPh sb="36" eb="38">
      <t>ドウイツ</t>
    </rPh>
    <rPh sb="38" eb="40">
      <t>セタイ</t>
    </rPh>
    <rPh sb="40" eb="42">
      <t>ショゾク</t>
    </rPh>
    <rPh sb="42" eb="43">
      <t>シャ</t>
    </rPh>
    <rPh sb="45" eb="48">
      <t>センジュウシャ</t>
    </rPh>
    <rPh sb="48" eb="50">
      <t>コウジョ</t>
    </rPh>
    <rPh sb="51" eb="55">
      <t>サンゼンサンゴ</t>
    </rPh>
    <rPh sb="55" eb="57">
      <t>ケイゲン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</si>
</sst>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1" applyNumberFormat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2" applyNumberFormat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2" applyNumberFormat="1" applyFont="1" applyBorder="1">
      <alignment vertical="center"/>
    </xf>
    <xf numFmtId="0" fontId="0" fillId="0" borderId="2" xfId="1" applyNumberFormat="1" applyFont="1" applyBorder="1">
      <alignment vertical="center"/>
    </xf>
    <xf numFmtId="38" fontId="0" fillId="2" borderId="1" xfId="1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Fill="1" applyBorder="1">
      <alignment vertical="center"/>
    </xf>
    <xf numFmtId="38" fontId="0" fillId="0" borderId="1" xfId="0" applyNumberForma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Fill="1" applyBorder="1">
      <alignment vertical="center"/>
    </xf>
    <xf numFmtId="38" fontId="5" fillId="0" borderId="1" xfId="0" applyNumberFormat="1" applyFont="1" applyBorder="1">
      <alignment vertical="center"/>
    </xf>
    <xf numFmtId="38" fontId="5" fillId="0" borderId="1" xfId="1" applyFont="1" applyFill="1" applyBorder="1">
      <alignment vertical="center"/>
    </xf>
    <xf numFmtId="38" fontId="6" fillId="3" borderId="1" xfId="0" applyNumberFormat="1" applyFont="1" applyFill="1" applyBorder="1">
      <alignment vertical="center"/>
    </xf>
    <xf numFmtId="38" fontId="7" fillId="3" borderId="1" xfId="0" applyNumberFormat="1" applyFont="1" applyFill="1" applyBorder="1">
      <alignment vertical="center"/>
    </xf>
    <xf numFmtId="38" fontId="7" fillId="3" borderId="1" xfId="1" applyFont="1" applyFill="1" applyBorder="1">
      <alignment vertical="center"/>
    </xf>
    <xf numFmtId="0" fontId="8" fillId="0" borderId="0" xfId="0" applyFont="1">
      <alignment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Border="1" applyAlignment="1">
      <alignment horizontal="centerContinuous" vertical="center"/>
    </xf>
    <xf numFmtId="38" fontId="0" fillId="0" borderId="0" xfId="1" applyFont="1" applyBorder="1" applyAlignment="1">
      <alignment horizontal="centerContinuous" vertical="center"/>
    </xf>
    <xf numFmtId="38" fontId="0" fillId="0" borderId="0" xfId="1" applyFont="1" applyBorder="1">
      <alignment vertical="center"/>
    </xf>
    <xf numFmtId="38" fontId="0" fillId="0" borderId="8" xfId="1" applyFont="1" applyFill="1" applyBorder="1">
      <alignment vertical="center"/>
    </xf>
    <xf numFmtId="38" fontId="6" fillId="0" borderId="8" xfId="0" applyNumberFormat="1" applyFont="1" applyFill="1" applyBorder="1">
      <alignment vertical="center"/>
    </xf>
    <xf numFmtId="38" fontId="0" fillId="0" borderId="3" xfId="1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11" fillId="0" borderId="0" xfId="0" applyFont="1">
      <alignment vertical="center"/>
    </xf>
    <xf numFmtId="38" fontId="0" fillId="4" borderId="1" xfId="1" applyFont="1" applyFill="1" applyBorder="1">
      <alignment vertical="center"/>
    </xf>
    <xf numFmtId="38" fontId="0" fillId="4" borderId="2" xfId="1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78F48-90A2-4BE8-BA11-EDA9AB2CD6CC}">
  <dimension ref="A1:R43"/>
  <sheetViews>
    <sheetView tabSelected="1" view="pageBreakPreview" zoomScaleNormal="100" zoomScaleSheetLayoutView="100" workbookViewId="0">
      <selection activeCell="G25" sqref="G25"/>
    </sheetView>
  </sheetViews>
  <sheetFormatPr defaultRowHeight="18.75" outlineLevelRow="1" outlineLevelCol="1"/>
  <cols>
    <col min="1" max="1" width="10.375" customWidth="1"/>
    <col min="2" max="2" width="7" style="1" customWidth="1"/>
    <col min="3" max="3" width="11.25" style="1" customWidth="1"/>
    <col min="4" max="4" width="12" style="1" customWidth="1"/>
    <col min="5" max="10" width="12" customWidth="1"/>
    <col min="11" max="11" width="9" hidden="1" customWidth="1"/>
    <col min="12" max="12" width="10.5" hidden="1" customWidth="1" outlineLevel="1"/>
    <col min="13" max="13" width="9.5" hidden="1" customWidth="1" outlineLevel="1"/>
    <col min="14" max="14" width="9" hidden="1" customWidth="1" outlineLevel="1"/>
    <col min="15" max="15" width="9" hidden="1" customWidth="1" collapsed="1"/>
  </cols>
  <sheetData>
    <row r="1" spans="1:18" ht="30">
      <c r="A1" s="24" t="s">
        <v>45</v>
      </c>
    </row>
    <row r="2" spans="1:18" ht="20.25" customHeight="1">
      <c r="A2" s="40" t="s">
        <v>46</v>
      </c>
    </row>
    <row r="3" spans="1:18" ht="19.5">
      <c r="I3" s="12" t="s">
        <v>39</v>
      </c>
      <c r="R3" s="47"/>
    </row>
    <row r="4" spans="1:18">
      <c r="H4" s="44"/>
      <c r="I4" s="43">
        <v>1</v>
      </c>
      <c r="J4" s="3" t="s">
        <v>21</v>
      </c>
    </row>
    <row r="5" spans="1:18">
      <c r="A5" s="50" t="s">
        <v>3</v>
      </c>
      <c r="B5" s="51"/>
      <c r="C5" s="25" t="s">
        <v>25</v>
      </c>
      <c r="D5" s="26" t="s">
        <v>11</v>
      </c>
      <c r="E5" s="27" t="s">
        <v>12</v>
      </c>
      <c r="F5" s="27" t="s">
        <v>13</v>
      </c>
      <c r="G5" s="27" t="s">
        <v>14</v>
      </c>
      <c r="H5" s="27" t="s">
        <v>15</v>
      </c>
      <c r="I5" s="42">
        <v>2</v>
      </c>
      <c r="J5" s="3" t="s">
        <v>19</v>
      </c>
    </row>
    <row r="6" spans="1:18">
      <c r="A6" s="50" t="s">
        <v>20</v>
      </c>
      <c r="B6" s="51"/>
      <c r="C6" s="48"/>
      <c r="D6" s="48"/>
      <c r="E6" s="48"/>
      <c r="F6" s="48"/>
      <c r="G6" s="48"/>
      <c r="H6" s="48"/>
      <c r="I6" s="42">
        <v>3</v>
      </c>
      <c r="J6" s="3" t="s">
        <v>22</v>
      </c>
    </row>
    <row r="7" spans="1:18">
      <c r="A7" s="50" t="s">
        <v>42</v>
      </c>
      <c r="B7" s="51"/>
      <c r="C7" s="49"/>
      <c r="D7" s="48"/>
      <c r="E7" s="48"/>
      <c r="F7" s="48"/>
      <c r="G7" s="48"/>
      <c r="H7" s="48"/>
      <c r="I7" s="46">
        <v>1</v>
      </c>
      <c r="J7" s="45"/>
    </row>
    <row r="8" spans="1:18">
      <c r="A8" s="50" t="s">
        <v>0</v>
      </c>
      <c r="B8" s="51"/>
      <c r="C8" s="11"/>
      <c r="D8" s="11"/>
      <c r="E8" s="11"/>
      <c r="F8" s="11"/>
      <c r="G8" s="11"/>
      <c r="H8" s="11"/>
      <c r="L8" t="s">
        <v>33</v>
      </c>
    </row>
    <row r="9" spans="1:18">
      <c r="A9" s="50" t="s">
        <v>2</v>
      </c>
      <c r="B9" s="51"/>
      <c r="C9" s="11"/>
      <c r="D9" s="11"/>
      <c r="E9" s="11"/>
      <c r="F9" s="11"/>
      <c r="G9" s="11"/>
      <c r="H9" s="11"/>
      <c r="L9" s="1">
        <v>24000000</v>
      </c>
      <c r="M9" s="1">
        <v>430000</v>
      </c>
    </row>
    <row r="10" spans="1:18">
      <c r="A10" s="54" t="s">
        <v>1</v>
      </c>
      <c r="B10" s="55"/>
      <c r="C10" s="29"/>
      <c r="D10" s="11"/>
      <c r="E10" s="11"/>
      <c r="F10" s="11"/>
      <c r="G10" s="11"/>
      <c r="H10" s="11"/>
      <c r="L10" s="1">
        <v>24500000</v>
      </c>
      <c r="M10" s="1">
        <v>290000</v>
      </c>
    </row>
    <row r="11" spans="1:18">
      <c r="A11" s="50" t="s">
        <v>40</v>
      </c>
      <c r="B11" s="51"/>
      <c r="C11" s="11"/>
      <c r="D11" s="11"/>
      <c r="E11" s="11"/>
      <c r="F11" s="11"/>
      <c r="G11" s="11"/>
      <c r="H11" s="11"/>
      <c r="L11" s="1">
        <v>25000000</v>
      </c>
      <c r="M11" s="1">
        <v>150000</v>
      </c>
    </row>
    <row r="12" spans="1:18">
      <c r="A12" s="50" t="s">
        <v>41</v>
      </c>
      <c r="B12" s="51"/>
      <c r="C12" s="11"/>
      <c r="D12" s="11"/>
      <c r="E12" s="11"/>
      <c r="F12" s="11"/>
      <c r="G12" s="11"/>
      <c r="H12" s="11"/>
      <c r="L12" s="1"/>
      <c r="M12" s="1"/>
    </row>
    <row r="13" spans="1:18" ht="36.75" customHeight="1">
      <c r="A13" s="52" t="s">
        <v>32</v>
      </c>
      <c r="B13" s="53"/>
      <c r="C13" s="28">
        <f>SUM(C8:C12)</f>
        <v>0</v>
      </c>
      <c r="D13" s="13">
        <f>SUM(D8:D12)</f>
        <v>0</v>
      </c>
      <c r="E13" s="13">
        <f t="shared" ref="E13:H13" si="0">SUM(E8:E12)</f>
        <v>0</v>
      </c>
      <c r="F13" s="13">
        <f t="shared" si="0"/>
        <v>0</v>
      </c>
      <c r="G13" s="13">
        <f t="shared" si="0"/>
        <v>0</v>
      </c>
      <c r="H13" s="13">
        <f t="shared" si="0"/>
        <v>0</v>
      </c>
      <c r="I13" s="14">
        <f>SUM(D13:H13)</f>
        <v>0</v>
      </c>
    </row>
    <row r="14" spans="1:18" hidden="1" outlineLevel="1">
      <c r="A14" s="50" t="s">
        <v>27</v>
      </c>
      <c r="B14" s="51"/>
      <c r="C14" s="13">
        <f t="shared" ref="C14:H14" si="1">IF(C9&gt;=150000,150000,C9)</f>
        <v>0</v>
      </c>
      <c r="D14" s="13">
        <f t="shared" si="1"/>
        <v>0</v>
      </c>
      <c r="E14" s="13">
        <f t="shared" si="1"/>
        <v>0</v>
      </c>
      <c r="F14" s="18">
        <f t="shared" si="1"/>
        <v>0</v>
      </c>
      <c r="G14" s="13">
        <f t="shared" si="1"/>
        <v>0</v>
      </c>
      <c r="H14" s="13">
        <f t="shared" si="1"/>
        <v>0</v>
      </c>
      <c r="I14" s="2"/>
    </row>
    <row r="15" spans="1:18" hidden="1" outlineLevel="1">
      <c r="A15" s="50" t="s">
        <v>28</v>
      </c>
      <c r="B15" s="51"/>
      <c r="C15" s="5">
        <f t="shared" ref="C15:H15" si="2">IF(C6=3,-C14,0)</f>
        <v>0</v>
      </c>
      <c r="D15" s="5">
        <f t="shared" si="2"/>
        <v>0</v>
      </c>
      <c r="E15" s="15">
        <f t="shared" si="2"/>
        <v>0</v>
      </c>
      <c r="F15" s="5">
        <f t="shared" si="2"/>
        <v>0</v>
      </c>
      <c r="G15" s="17">
        <f t="shared" si="2"/>
        <v>0</v>
      </c>
      <c r="H15" s="5">
        <f t="shared" si="2"/>
        <v>0</v>
      </c>
      <c r="I15" s="2"/>
    </row>
    <row r="16" spans="1:18" ht="36" hidden="1" customHeight="1" outlineLevel="1">
      <c r="A16" s="52" t="s">
        <v>31</v>
      </c>
      <c r="B16" s="53"/>
      <c r="C16" s="13">
        <f>IF(C13+C15&gt;=0,C13+C15,0)</f>
        <v>0</v>
      </c>
      <c r="D16" s="13">
        <f t="shared" ref="D16:H16" si="3">IF(D13+D15&gt;=0,D13+D15,0)</f>
        <v>0</v>
      </c>
      <c r="E16" s="13">
        <f t="shared" si="3"/>
        <v>0</v>
      </c>
      <c r="F16" s="13">
        <f t="shared" si="3"/>
        <v>0</v>
      </c>
      <c r="G16" s="13">
        <f t="shared" si="3"/>
        <v>0</v>
      </c>
      <c r="H16" s="13">
        <f t="shared" si="3"/>
        <v>0</v>
      </c>
      <c r="I16" s="14">
        <f>SUM(C16:H16)</f>
        <v>0</v>
      </c>
    </row>
    <row r="17" spans="1:14" hidden="1" outlineLevel="1">
      <c r="A17" s="50" t="s">
        <v>30</v>
      </c>
      <c r="B17" s="51"/>
      <c r="C17" s="28"/>
      <c r="D17" s="13">
        <f>IF(D13&lt;=$L$9,$M$9,IF(AND(D13&gt;$L$9,D13&lt;=$L$10),$M$10,IF(AND(D13&gt;$L$10,D13&lt;=$L$11),$M$11,0)))</f>
        <v>430000</v>
      </c>
      <c r="E17" s="13">
        <f t="shared" ref="E17:H17" si="4">IF(E13&lt;=$L$9,$M$9,IF(AND(E13&gt;$L$9,E13&lt;=$L$10),$M$10,IF(AND(E13&gt;$L$10,E13&lt;=$L$11),$M$11,0)))</f>
        <v>430000</v>
      </c>
      <c r="F17" s="13">
        <f t="shared" si="4"/>
        <v>430000</v>
      </c>
      <c r="G17" s="13">
        <f t="shared" si="4"/>
        <v>430000</v>
      </c>
      <c r="H17" s="13">
        <f t="shared" si="4"/>
        <v>430000</v>
      </c>
      <c r="I17" s="14"/>
      <c r="L17" t="s">
        <v>44</v>
      </c>
    </row>
    <row r="18" spans="1:14" hidden="1" outlineLevel="1">
      <c r="A18" s="50" t="s">
        <v>23</v>
      </c>
      <c r="B18" s="51"/>
      <c r="C18" s="7"/>
      <c r="D18" s="13">
        <f>COUNTA(D6)</f>
        <v>0</v>
      </c>
      <c r="E18" s="13">
        <f>COUNTA(E6)</f>
        <v>0</v>
      </c>
      <c r="F18" s="13">
        <f>COUNTA(F6)</f>
        <v>0</v>
      </c>
      <c r="G18" s="13">
        <f>COUNTA(G6)</f>
        <v>0</v>
      </c>
      <c r="H18" s="13">
        <f>COUNTA(H6)</f>
        <v>0</v>
      </c>
      <c r="I18" s="14">
        <f>SUM(D18:H18)</f>
        <v>0</v>
      </c>
      <c r="L18">
        <v>0</v>
      </c>
      <c r="M18">
        <v>11700</v>
      </c>
      <c r="N18">
        <v>3000</v>
      </c>
    </row>
    <row r="19" spans="1:14" hidden="1" outlineLevel="1">
      <c r="A19" s="50" t="s">
        <v>29</v>
      </c>
      <c r="B19" s="51"/>
      <c r="C19" s="7"/>
      <c r="D19" s="13">
        <f>IF(D6=2,1,0)</f>
        <v>0</v>
      </c>
      <c r="E19" s="13">
        <f>IF(E6=2,1,0)</f>
        <v>0</v>
      </c>
      <c r="F19" s="13">
        <f>IF(F6=2,1,0)</f>
        <v>0</v>
      </c>
      <c r="G19" s="13">
        <f>IF(G6=2,1,0)</f>
        <v>0</v>
      </c>
      <c r="H19" s="13">
        <f>IF(H6=2,1,0)</f>
        <v>0</v>
      </c>
      <c r="I19" s="14">
        <f>SUM(D19:H19)</f>
        <v>0</v>
      </c>
      <c r="L19">
        <v>2</v>
      </c>
      <c r="M19">
        <v>9360</v>
      </c>
      <c r="N19">
        <v>2400</v>
      </c>
    </row>
    <row r="20" spans="1:14" hidden="1" outlineLevel="1">
      <c r="A20" s="50" t="s">
        <v>16</v>
      </c>
      <c r="B20" s="51"/>
      <c r="C20" s="5">
        <f>IF(OR(C8&gt;0,C9&gt;0),1,0)</f>
        <v>0</v>
      </c>
      <c r="D20" s="5">
        <f>IF(OR(D8&gt;0,D9&gt;0),1,0)</f>
        <v>0</v>
      </c>
      <c r="E20" s="5">
        <f>IF(OR(E8&gt;0,E9&gt;0),1,0)</f>
        <v>0</v>
      </c>
      <c r="F20" s="5">
        <f t="shared" ref="F20:H20" si="5">IF(OR(F8&gt;0,F9&gt;0),1,0)</f>
        <v>0</v>
      </c>
      <c r="G20" s="5">
        <f t="shared" si="5"/>
        <v>0</v>
      </c>
      <c r="H20" s="5">
        <f t="shared" si="5"/>
        <v>0</v>
      </c>
      <c r="I20" s="14">
        <f>SUM(C20:H20)</f>
        <v>0</v>
      </c>
      <c r="L20">
        <v>5</v>
      </c>
      <c r="M20">
        <v>5850</v>
      </c>
      <c r="N20">
        <v>1500</v>
      </c>
    </row>
    <row r="21" spans="1:14" hidden="1" outlineLevel="1">
      <c r="A21" s="50" t="s">
        <v>43</v>
      </c>
      <c r="B21" s="51"/>
      <c r="C21" s="7"/>
      <c r="D21" s="5">
        <f>COUNTA(D7)</f>
        <v>0</v>
      </c>
      <c r="E21" s="5">
        <f t="shared" ref="E21:H21" si="6">COUNTA(E7)</f>
        <v>0</v>
      </c>
      <c r="F21" s="5">
        <f t="shared" si="6"/>
        <v>0</v>
      </c>
      <c r="G21" s="5">
        <f t="shared" si="6"/>
        <v>0</v>
      </c>
      <c r="H21" s="5">
        <f t="shared" si="6"/>
        <v>0</v>
      </c>
      <c r="I21" s="14">
        <f>SUM(D21:H21)</f>
        <v>0</v>
      </c>
      <c r="L21">
        <v>7</v>
      </c>
      <c r="M21">
        <v>3510</v>
      </c>
      <c r="N21">
        <v>900</v>
      </c>
    </row>
    <row r="22" spans="1:14" collapsed="1">
      <c r="E22" s="1"/>
      <c r="F22" s="1"/>
      <c r="J22" s="8"/>
    </row>
    <row r="23" spans="1:14" ht="24">
      <c r="A23" s="32" t="s">
        <v>7</v>
      </c>
      <c r="E23" s="1"/>
      <c r="F23" s="1"/>
      <c r="H23" s="30">
        <f>IF(I16&lt;=M27,L27,IF(I16&lt;=M26,L26,IF(I16&lt;=M25,L25,0)))</f>
        <v>7</v>
      </c>
      <c r="I23" s="30" t="s">
        <v>24</v>
      </c>
      <c r="J23" s="31" t="s">
        <v>26</v>
      </c>
      <c r="L23" t="s">
        <v>34</v>
      </c>
    </row>
    <row r="24" spans="1:14" ht="19.5">
      <c r="A24" s="3" t="s">
        <v>4</v>
      </c>
      <c r="B24" s="6">
        <v>7.5999999999999998E-2</v>
      </c>
      <c r="C24" s="9"/>
      <c r="D24" s="5">
        <f>IF(D13&lt;=D17,0,ROUNDDOWN((D13-D17)*$B$24,0))</f>
        <v>0</v>
      </c>
      <c r="E24" s="5">
        <f>IF(E13&lt;=E17,0,ROUNDDOWN((E13-E17)*$B$24,0))</f>
        <v>0</v>
      </c>
      <c r="F24" s="5">
        <f>IF(F13&lt;=F17,0,ROUNDDOWN((F13-F17)*$B$24,0))</f>
        <v>0</v>
      </c>
      <c r="G24" s="5">
        <f>IF(G13&lt;=G17,0,ROUNDDOWN((G13-G17)*$B$24,0))</f>
        <v>0</v>
      </c>
      <c r="H24" s="5">
        <f>IF(H13&lt;=H17,0,ROUNDDOWN((H13-H17)*$B$24,0))</f>
        <v>0</v>
      </c>
      <c r="I24" s="16">
        <f>SUM(D24:H24)</f>
        <v>0</v>
      </c>
      <c r="J24" s="19">
        <f>I24</f>
        <v>0</v>
      </c>
      <c r="L24">
        <v>0</v>
      </c>
      <c r="N24">
        <v>1</v>
      </c>
    </row>
    <row r="25" spans="1:14" ht="19.5">
      <c r="A25" s="3" t="s">
        <v>5</v>
      </c>
      <c r="B25" s="5">
        <v>23400</v>
      </c>
      <c r="C25" s="7"/>
      <c r="D25" s="5">
        <f>IF(D6&gt;0,$B$25,0)</f>
        <v>0</v>
      </c>
      <c r="E25" s="5">
        <f>IF(E6&gt;0,$B$25,0)</f>
        <v>0</v>
      </c>
      <c r="F25" s="5">
        <f>IF(F6&gt;0,$B$25,0)</f>
        <v>0</v>
      </c>
      <c r="G25" s="5">
        <f>IF(G6&gt;0,$B$25,0)</f>
        <v>0</v>
      </c>
      <c r="H25" s="5">
        <f>IF(H6&gt;0,$B$25,0)</f>
        <v>0</v>
      </c>
      <c r="I25" s="15">
        <f t="shared" ref="I25:I37" si="7">SUM(D25:H25)</f>
        <v>0</v>
      </c>
      <c r="J25" s="20">
        <f>I25*VLOOKUP($H$23,$L$24:$N$27,3,0)-IF(I21&gt;0,I21*VLOOKUP($H$23,$L$18:$N$21,2,0))</f>
        <v>0</v>
      </c>
      <c r="L25">
        <v>2</v>
      </c>
      <c r="M25" s="1">
        <f>IF($I$20&gt;=2,430000+545000*$I$18+($I$20-1)*100000,430000+545000*$I$18)</f>
        <v>430000</v>
      </c>
      <c r="N25">
        <v>0.8</v>
      </c>
    </row>
    <row r="26" spans="1:14" ht="19.5">
      <c r="A26" s="3" t="s">
        <v>6</v>
      </c>
      <c r="B26" s="5">
        <v>24600</v>
      </c>
      <c r="C26" s="7"/>
      <c r="D26" s="7">
        <f>IF(D18=1,$I$26/$I$18,0)</f>
        <v>0</v>
      </c>
      <c r="E26" s="7">
        <f>IF(E18=1,$I$26/$I$18,0)</f>
        <v>0</v>
      </c>
      <c r="F26" s="7">
        <f>IF(F18=1,$I$26/$I$18,0)</f>
        <v>0</v>
      </c>
      <c r="G26" s="7">
        <f>IF(G18=1,$I$26/$I$18,0)</f>
        <v>0</v>
      </c>
      <c r="H26" s="7">
        <f>IF(H18=1,$I$26/$I$18,0)</f>
        <v>0</v>
      </c>
      <c r="I26" s="15">
        <f>B26</f>
        <v>24600</v>
      </c>
      <c r="J26" s="20">
        <f>I26*VLOOKUP($H$23,$L$24:$N$27,3,0)</f>
        <v>7380</v>
      </c>
      <c r="L26">
        <v>5</v>
      </c>
      <c r="M26" s="1">
        <f>IF($I$20&gt;=2,430000+295000*$I$18+($I$20-1)*100000,430000+295000*$I$18)</f>
        <v>430000</v>
      </c>
      <c r="N26">
        <v>0.5</v>
      </c>
    </row>
    <row r="27" spans="1:14" ht="19.5">
      <c r="A27" s="50" t="s">
        <v>8</v>
      </c>
      <c r="B27" s="51"/>
      <c r="C27" s="5"/>
      <c r="D27" s="5">
        <f>SUM(D24:D26)</f>
        <v>0</v>
      </c>
      <c r="E27" s="5">
        <f t="shared" ref="E27:H27" si="8">SUM(E24:E26)</f>
        <v>0</v>
      </c>
      <c r="F27" s="5">
        <f t="shared" si="8"/>
        <v>0</v>
      </c>
      <c r="G27" s="5">
        <f t="shared" si="8"/>
        <v>0</v>
      </c>
      <c r="H27" s="5">
        <f t="shared" si="8"/>
        <v>0</v>
      </c>
      <c r="I27" s="15">
        <f>SUM(I24:I26)</f>
        <v>24600</v>
      </c>
      <c r="J27" s="21">
        <f>IF(SUM(J24:J26)&gt;=M32,M32,SUM(J24:J26))</f>
        <v>7380</v>
      </c>
      <c r="L27">
        <v>7</v>
      </c>
      <c r="M27" s="1">
        <f>IF($I$20&gt;=2,430000+($I$20-1)*100000,430000)</f>
        <v>430000</v>
      </c>
      <c r="N27">
        <v>0.3</v>
      </c>
    </row>
    <row r="28" spans="1:14" ht="19.5">
      <c r="A28" s="33"/>
      <c r="B28" s="34"/>
      <c r="C28" s="35"/>
      <c r="D28" s="35"/>
      <c r="E28" s="35"/>
      <c r="F28" s="35"/>
      <c r="G28" s="35"/>
      <c r="H28" s="35"/>
      <c r="I28" s="36"/>
      <c r="J28" s="37"/>
    </row>
    <row r="29" spans="1:14" ht="24">
      <c r="A29" s="32" t="s">
        <v>9</v>
      </c>
      <c r="I29" s="38"/>
      <c r="J29" s="39"/>
    </row>
    <row r="30" spans="1:14" ht="19.5">
      <c r="A30" s="3" t="s">
        <v>4</v>
      </c>
      <c r="B30" s="4">
        <v>1.9E-2</v>
      </c>
      <c r="C30" s="10"/>
      <c r="D30" s="5">
        <f>IF(D13&lt;=D17,0,ROUNDDOWN((D13-D17)*$B$30,0))</f>
        <v>0</v>
      </c>
      <c r="E30" s="5">
        <f>IF(E13&lt;=E17,0,ROUNDDOWN((E13-E17)*$B$30,0))</f>
        <v>0</v>
      </c>
      <c r="F30" s="5">
        <f>IF(F13&lt;=F17,0,ROUNDDOWN((F13-F17)*$B$30,0))</f>
        <v>0</v>
      </c>
      <c r="G30" s="5">
        <f>IF(G13&lt;=G17,0,ROUNDDOWN((G13-G17)*$B$30,0))</f>
        <v>0</v>
      </c>
      <c r="H30" s="5">
        <f>IF(H13&lt;=H17,0,ROUNDDOWN((H13-H17)*$B$30,0))</f>
        <v>0</v>
      </c>
      <c r="I30" s="15">
        <f t="shared" si="7"/>
        <v>0</v>
      </c>
      <c r="J30" s="19">
        <f>I30</f>
        <v>0</v>
      </c>
    </row>
    <row r="31" spans="1:14" ht="19.5">
      <c r="A31" s="3" t="s">
        <v>5</v>
      </c>
      <c r="B31" s="5">
        <v>6000</v>
      </c>
      <c r="C31" s="7"/>
      <c r="D31" s="5">
        <f>IF(D6&gt;0,$B$31,0)</f>
        <v>0</v>
      </c>
      <c r="E31" s="5">
        <f>IF(E6&gt;0,$B$31,0)</f>
        <v>0</v>
      </c>
      <c r="F31" s="5">
        <f>IF(F6&gt;0,$B$31,0)</f>
        <v>0</v>
      </c>
      <c r="G31" s="5">
        <f>IF(G6&gt;0,$B$31,0)</f>
        <v>0</v>
      </c>
      <c r="H31" s="5">
        <f>IF(H6&gt;0,$B$31,0)</f>
        <v>0</v>
      </c>
      <c r="I31" s="15">
        <f t="shared" si="7"/>
        <v>0</v>
      </c>
      <c r="J31" s="20">
        <f>I31*VLOOKUP($H$23,$L$24:$N$27,3,0)-IF(I21&gt;0,I21*VLOOKUP($H$23,$L$18:$N$21,3,0))</f>
        <v>0</v>
      </c>
      <c r="L31" t="s">
        <v>35</v>
      </c>
    </row>
    <row r="32" spans="1:14" ht="19.5">
      <c r="A32" s="3" t="s">
        <v>6</v>
      </c>
      <c r="B32" s="5">
        <v>6300</v>
      </c>
      <c r="C32" s="7"/>
      <c r="D32" s="7">
        <f>IF(D18=1,$I$32/$I$18,0)</f>
        <v>0</v>
      </c>
      <c r="E32" s="7">
        <f>IF(E18=1,$I$32/$I$18,0)</f>
        <v>0</v>
      </c>
      <c r="F32" s="7">
        <f>IF(F18=1,$I$32/$I$18,0)</f>
        <v>0</v>
      </c>
      <c r="G32" s="7">
        <f>IF(G18=1,$I$32/$I$18,0)</f>
        <v>0</v>
      </c>
      <c r="H32" s="7">
        <f>IF(H18=1,$I$32/$I$18,0)</f>
        <v>0</v>
      </c>
      <c r="I32" s="15">
        <f>B32</f>
        <v>6300</v>
      </c>
      <c r="J32" s="20">
        <f>I32*VLOOKUP($H$23,$L$24:$N$27,3,0)</f>
        <v>1890</v>
      </c>
      <c r="L32" s="12" t="s">
        <v>36</v>
      </c>
      <c r="M32" s="1">
        <v>650000</v>
      </c>
    </row>
    <row r="33" spans="1:13" ht="19.5">
      <c r="A33" s="50" t="s">
        <v>8</v>
      </c>
      <c r="B33" s="51"/>
      <c r="C33" s="5"/>
      <c r="D33" s="5">
        <f>SUM(D30:D32)</f>
        <v>0</v>
      </c>
      <c r="E33" s="5">
        <f t="shared" ref="E33:H33" si="9">SUM(E30:E32)</f>
        <v>0</v>
      </c>
      <c r="F33" s="5">
        <f t="shared" si="9"/>
        <v>0</v>
      </c>
      <c r="G33" s="5">
        <f t="shared" si="9"/>
        <v>0</v>
      </c>
      <c r="H33" s="5">
        <f t="shared" si="9"/>
        <v>0</v>
      </c>
      <c r="I33" s="15">
        <f>SUM(I30:I32)</f>
        <v>6300</v>
      </c>
      <c r="J33" s="21">
        <f>IF(SUM(J30:J32)&gt;=M33,M33,SUM(J30:J32))</f>
        <v>1890</v>
      </c>
      <c r="L33" s="12" t="s">
        <v>37</v>
      </c>
      <c r="M33" s="1">
        <v>220000</v>
      </c>
    </row>
    <row r="34" spans="1:13" ht="19.5">
      <c r="A34" s="33"/>
      <c r="B34" s="34"/>
      <c r="C34" s="35"/>
      <c r="D34" s="35"/>
      <c r="E34" s="35"/>
      <c r="F34" s="35"/>
      <c r="G34" s="35"/>
      <c r="H34" s="35"/>
      <c r="I34" s="36"/>
      <c r="J34" s="37"/>
      <c r="L34" s="12" t="s">
        <v>38</v>
      </c>
      <c r="M34" s="1">
        <v>170000</v>
      </c>
    </row>
    <row r="35" spans="1:13" ht="24">
      <c r="A35" s="32" t="s">
        <v>10</v>
      </c>
      <c r="I35" s="38"/>
      <c r="J35" s="39"/>
      <c r="M35" s="1"/>
    </row>
    <row r="36" spans="1:13" ht="19.5">
      <c r="A36" s="3" t="s">
        <v>4</v>
      </c>
      <c r="B36" s="4">
        <v>1.2E-2</v>
      </c>
      <c r="C36" s="10"/>
      <c r="D36" s="5">
        <f>IF(D6=2,D40,0)</f>
        <v>0</v>
      </c>
      <c r="E36" s="5">
        <f>IF(E6=2,E40,0)</f>
        <v>0</v>
      </c>
      <c r="F36" s="5">
        <f>IF(F6=2,F40,0)</f>
        <v>0</v>
      </c>
      <c r="G36" s="5">
        <f>IF(G6=2,G40,0)</f>
        <v>0</v>
      </c>
      <c r="H36" s="5">
        <f>IF(H6=2,H40,0)</f>
        <v>0</v>
      </c>
      <c r="I36" s="15">
        <f t="shared" si="7"/>
        <v>0</v>
      </c>
      <c r="J36" s="19">
        <f>I36</f>
        <v>0</v>
      </c>
    </row>
    <row r="37" spans="1:13" ht="19.5">
      <c r="A37" s="3" t="s">
        <v>5</v>
      </c>
      <c r="B37" s="5">
        <v>5100</v>
      </c>
      <c r="C37" s="7"/>
      <c r="D37" s="5">
        <f>IF(D6=2,$B$37,0)</f>
        <v>0</v>
      </c>
      <c r="E37" s="5">
        <f>IF(E6=2,$B$37,0)</f>
        <v>0</v>
      </c>
      <c r="F37" s="5">
        <f>IF(F6=2,$B$37,0)</f>
        <v>0</v>
      </c>
      <c r="G37" s="5">
        <f>IF(G6=2,$B$37,0)</f>
        <v>0</v>
      </c>
      <c r="H37" s="5">
        <f>IF(H6=2,$B$37,0)</f>
        <v>0</v>
      </c>
      <c r="I37" s="15">
        <f t="shared" si="7"/>
        <v>0</v>
      </c>
      <c r="J37" s="20">
        <f>I37*VLOOKUP($H$23,$L$24:$N$27,3,0)</f>
        <v>0</v>
      </c>
    </row>
    <row r="38" spans="1:13" ht="19.5">
      <c r="A38" s="3" t="s">
        <v>6</v>
      </c>
      <c r="B38" s="5">
        <v>5100</v>
      </c>
      <c r="C38" s="7"/>
      <c r="D38" s="7">
        <f>IF(D19=1,$I$38/$I$19,0)</f>
        <v>0</v>
      </c>
      <c r="E38" s="7">
        <f>IF(E19=1,$I$38/$I$19,0)</f>
        <v>0</v>
      </c>
      <c r="F38" s="7">
        <f>IF(F19=1,$I$38/$I$19,0)</f>
        <v>0</v>
      </c>
      <c r="G38" s="7">
        <f>IF(G19=1,$I$38/$I$19,0)</f>
        <v>0</v>
      </c>
      <c r="H38" s="7">
        <f>IF(H19=1,$I$38/$I$19,0)</f>
        <v>0</v>
      </c>
      <c r="I38" s="15">
        <f>IF(I37&gt;0,B38,0)</f>
        <v>0</v>
      </c>
      <c r="J38" s="20">
        <f>I38*VLOOKUP($H$23,$L$24:$N$27,3,0)</f>
        <v>0</v>
      </c>
    </row>
    <row r="39" spans="1:13" ht="19.5">
      <c r="A39" s="50" t="s">
        <v>8</v>
      </c>
      <c r="B39" s="51"/>
      <c r="C39" s="5"/>
      <c r="D39" s="5">
        <f>SUM(D36:D38)</f>
        <v>0</v>
      </c>
      <c r="E39" s="5">
        <f t="shared" ref="E39:H39" si="10">SUM(E36:E38)</f>
        <v>0</v>
      </c>
      <c r="F39" s="5">
        <f t="shared" si="10"/>
        <v>0</v>
      </c>
      <c r="G39" s="5">
        <f t="shared" si="10"/>
        <v>0</v>
      </c>
      <c r="H39" s="5">
        <f t="shared" si="10"/>
        <v>0</v>
      </c>
      <c r="I39" s="15">
        <f>SUM(I36:I38)</f>
        <v>0</v>
      </c>
      <c r="J39" s="21">
        <f>IF(SUM(J36:J38)&gt;=M34,M34,SUM(J36:J38))</f>
        <v>0</v>
      </c>
    </row>
    <row r="40" spans="1:13" hidden="1" outlineLevel="1">
      <c r="D40" s="1">
        <f>IF(D13&lt;=D17,0,ROUNDDOWN((D13-D17)*$B$36,0))</f>
        <v>0</v>
      </c>
      <c r="E40" s="1">
        <f t="shared" ref="E40:H40" si="11">IF(E13&lt;=E17,0,ROUNDDOWN((E13-E17)*$B$36,0))</f>
        <v>0</v>
      </c>
      <c r="F40" s="1">
        <f t="shared" si="11"/>
        <v>0</v>
      </c>
      <c r="G40" s="1">
        <f t="shared" si="11"/>
        <v>0</v>
      </c>
      <c r="H40" s="1">
        <f t="shared" si="11"/>
        <v>0</v>
      </c>
    </row>
    <row r="41" spans="1:13" collapsed="1"/>
    <row r="42" spans="1:13" ht="24">
      <c r="I42" s="41" t="s">
        <v>17</v>
      </c>
      <c r="J42" s="22">
        <f>J27+J33+J39</f>
        <v>9270</v>
      </c>
    </row>
    <row r="43" spans="1:13" ht="24">
      <c r="I43" s="41" t="s">
        <v>18</v>
      </c>
      <c r="J43" s="23">
        <f>ROUNDDOWN(J42/12,0)</f>
        <v>772</v>
      </c>
    </row>
  </sheetData>
  <dataConsolidate/>
  <mergeCells count="20">
    <mergeCell ref="A10:B10"/>
    <mergeCell ref="A5:B5"/>
    <mergeCell ref="A6:B6"/>
    <mergeCell ref="A7:B7"/>
    <mergeCell ref="A8:B8"/>
    <mergeCell ref="A9:B9"/>
    <mergeCell ref="A39:B39"/>
    <mergeCell ref="A33:B33"/>
    <mergeCell ref="A27:B27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honeticPr fontId="2"/>
  <dataValidations count="2">
    <dataValidation type="list" allowBlank="1" showInputMessage="1" showErrorMessage="1" sqref="C6:H6" xr:uid="{79CD648E-D69C-4525-9595-BCB2804BCCB7}">
      <formula1>$I$4:$I$6</formula1>
    </dataValidation>
    <dataValidation type="list" allowBlank="1" showInputMessage="1" showErrorMessage="1" sqref="D7:E7 G7:H7 F7" xr:uid="{8BBBEE24-808C-4F9A-B695-A00755C959EC}">
      <formula1>$I$7</formula1>
    </dataValidation>
  </dataValidations>
  <pageMargins left="0.7" right="0.7" top="0.75" bottom="0.75" header="0.3" footer="0.3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217001</dc:creator>
  <cp:lastModifiedBy>Administrator</cp:lastModifiedBy>
  <cp:lastPrinted>2023-07-10T11:29:58Z</cp:lastPrinted>
  <dcterms:created xsi:type="dcterms:W3CDTF">2020-12-18T00:29:52Z</dcterms:created>
  <dcterms:modified xsi:type="dcterms:W3CDTF">2024-07-02T05:26:08Z</dcterms:modified>
</cp:coreProperties>
</file>